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<sst xmlns="http://schemas.openxmlformats.org/spreadsheetml/2006/main" count="398" uniqueCount="198">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</sst>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4">
        <row r="6">
          <cell r="G6">
            <v>114356588.32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100531366.35999998</v>
          </cell>
        </row>
      </sheetData>
      <sheetData sheetId="16">
        <row r="28">
          <cell r="C28">
            <v>2063725</v>
          </cell>
        </row>
      </sheetData>
      <sheetData sheetId="17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191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194</v>
      </c>
      <c r="N3" s="176" t="s">
        <v>188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195</v>
      </c>
      <c r="F4" s="160" t="s">
        <v>116</v>
      </c>
      <c r="G4" s="162" t="s">
        <v>167</v>
      </c>
      <c r="H4" s="164" t="s">
        <v>168</v>
      </c>
      <c r="I4" s="166" t="s">
        <v>192</v>
      </c>
      <c r="J4" s="172" t="s">
        <v>193</v>
      </c>
      <c r="K4" s="125" t="s">
        <v>174</v>
      </c>
      <c r="L4" s="132" t="s">
        <v>173</v>
      </c>
      <c r="M4" s="155"/>
      <c r="N4" s="174" t="s">
        <v>197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187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42298.14000000001</v>
      </c>
      <c r="G8" s="22">
        <f aca="true" t="shared" si="0" ref="G8:G30">F8-E8</f>
        <v>-27731.859999999993</v>
      </c>
      <c r="H8" s="51">
        <f>F8/E8*100</f>
        <v>60.40002855918893</v>
      </c>
      <c r="I8" s="36">
        <f aca="true" t="shared" si="1" ref="I8:I17">F8-D8</f>
        <v>-477031.16</v>
      </c>
      <c r="J8" s="36">
        <f aca="true" t="shared" si="2" ref="J8:J14">F8/D8*100</f>
        <v>8.144762870109583</v>
      </c>
      <c r="K8" s="36">
        <f>F8-72579.4</f>
        <v>-30281.259999999987</v>
      </c>
      <c r="L8" s="138">
        <f>F8/72579.4</f>
        <v>0.5827843713229927</v>
      </c>
      <c r="M8" s="22">
        <f>M10+M19+M33+M56+M68+M30</f>
        <v>35825</v>
      </c>
      <c r="N8" s="22">
        <f>N10+N19+N33+N56+N68+N30</f>
        <v>8549.979999999998</v>
      </c>
      <c r="O8" s="36">
        <f aca="true" t="shared" si="3" ref="O8:O71">N8-M8</f>
        <v>-27275.020000000004</v>
      </c>
      <c r="P8" s="36">
        <f>F8/M8*100</f>
        <v>118.06877878576414</v>
      </c>
      <c r="Q8" s="36">
        <f>N8-38977.9</f>
        <v>-30427.920000000006</v>
      </c>
      <c r="R8" s="136">
        <f>N8/31977.9</f>
        <v>0.26737152846184387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34404.6</v>
      </c>
      <c r="G9" s="22">
        <f t="shared" si="0"/>
        <v>34404.6</v>
      </c>
      <c r="H9" s="20"/>
      <c r="I9" s="56">
        <f t="shared" si="1"/>
        <v>-383961.60000000003</v>
      </c>
      <c r="J9" s="56">
        <f t="shared" si="2"/>
        <v>8.223561081177207</v>
      </c>
      <c r="K9" s="56"/>
      <c r="L9" s="137"/>
      <c r="M9" s="20">
        <f>M10+M17</f>
        <v>28750</v>
      </c>
      <c r="N9" s="20">
        <f>N10+N17</f>
        <v>7836.489999999998</v>
      </c>
      <c r="O9" s="36">
        <f t="shared" si="3"/>
        <v>-20913.510000000002</v>
      </c>
      <c r="P9" s="56">
        <f>F9/M9*100</f>
        <v>119.66817391304347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34404.6</v>
      </c>
      <c r="G10" s="49">
        <f t="shared" si="0"/>
        <v>-21495.4</v>
      </c>
      <c r="H10" s="40">
        <f aca="true" t="shared" si="4" ref="H10:H17">F10/E10*100</f>
        <v>61.54669051878354</v>
      </c>
      <c r="I10" s="56">
        <f t="shared" si="1"/>
        <v>-383961.60000000003</v>
      </c>
      <c r="J10" s="56">
        <f t="shared" si="2"/>
        <v>8.223561081177207</v>
      </c>
      <c r="K10" s="56">
        <f>F10-55122.8</f>
        <v>-20718.200000000004</v>
      </c>
      <c r="L10" s="137">
        <f>F10/55122.8</f>
        <v>0.6241446370648805</v>
      </c>
      <c r="M10" s="40">
        <f>E10-'січень '!E10</f>
        <v>28750</v>
      </c>
      <c r="N10" s="40">
        <f>F10-'січень '!F10</f>
        <v>7836.489999999998</v>
      </c>
      <c r="O10" s="53">
        <f t="shared" si="3"/>
        <v>-20913.510000000002</v>
      </c>
      <c r="P10" s="56">
        <f aca="true" t="shared" si="5" ref="P10:P17">N10/M10*100</f>
        <v>27.257356521739123</v>
      </c>
      <c r="Q10" s="143">
        <f>N10-28390.4</f>
        <v>-20553.910000000003</v>
      </c>
      <c r="R10" s="144">
        <f>N10/28390.4</f>
        <v>0.276026051059513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369.23</v>
      </c>
      <c r="G19" s="49">
        <f t="shared" si="0"/>
        <v>169.23000000000002</v>
      </c>
      <c r="H19" s="40">
        <f aca="true" t="shared" si="6" ref="H19:H28">F19/E19*100</f>
        <v>184.615</v>
      </c>
      <c r="I19" s="56">
        <f aca="true" t="shared" si="7" ref="I19:I29">F19-D19</f>
        <v>-5630.77</v>
      </c>
      <c r="J19" s="56">
        <f aca="true" t="shared" si="8" ref="J19:J29">F19/D19*100</f>
        <v>6.153833333333333</v>
      </c>
      <c r="K19" s="56">
        <f>F19-3876</f>
        <v>-3506.77</v>
      </c>
      <c r="L19" s="137">
        <f>F19/3876</f>
        <v>0.09526057791537668</v>
      </c>
      <c r="M19" s="40">
        <f>E19-'січень '!E19</f>
        <v>100</v>
      </c>
      <c r="N19" s="40">
        <f>F19-'січень '!F19</f>
        <v>10.420000000000016</v>
      </c>
      <c r="O19" s="53">
        <f t="shared" si="3"/>
        <v>-89.57999999999998</v>
      </c>
      <c r="P19" s="56">
        <f aca="true" t="shared" si="9" ref="P19:P28">N19/M19*100</f>
        <v>10.420000000000016</v>
      </c>
      <c r="Q19" s="56">
        <f>N19-3681.4</f>
        <v>-3670.98</v>
      </c>
      <c r="R19" s="137">
        <f>N19/3681.4</f>
        <v>0.002830444939425223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9">F20-194.7</f>
        <v>-194.7</v>
      </c>
      <c r="L20" s="137">
        <f aca="true" t="shared" si="11" ref="L20:L29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9">N20-3681.4</f>
        <v>-3681.4</v>
      </c>
      <c r="R20" s="137">
        <f aca="true" t="shared" si="13" ref="R20:R29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85">
        <v>11010232</v>
      </c>
      <c r="D29" s="186">
        <v>3000</v>
      </c>
      <c r="E29" s="41"/>
      <c r="F29" s="188">
        <v>358.79</v>
      </c>
      <c r="G29" s="49"/>
      <c r="H29" s="40"/>
      <c r="I29" s="56">
        <f t="shared" si="7"/>
        <v>-2641.21</v>
      </c>
      <c r="J29" s="56">
        <f t="shared" si="8"/>
        <v>11.959666666666667</v>
      </c>
      <c r="K29" s="190">
        <f>F29-322.6</f>
        <v>36.19</v>
      </c>
      <c r="L29" s="191">
        <f>F29/322.6</f>
        <v>1.112182269063856</v>
      </c>
      <c r="M29" s="188">
        <f>E29-'січень '!E29</f>
        <v>0</v>
      </c>
      <c r="N29" s="188">
        <f>F29-'січень '!F29</f>
        <v>0</v>
      </c>
      <c r="O29" s="19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6831.63</v>
      </c>
      <c r="G33" s="49">
        <f aca="true" t="shared" si="14" ref="G33:G72">F33-E33</f>
        <v>-5968.37</v>
      </c>
      <c r="H33" s="40">
        <f aca="true" t="shared" si="15" ref="H33:H67">F33/E33*100</f>
        <v>53.372109375</v>
      </c>
      <c r="I33" s="56">
        <f>F33-D33</f>
        <v>-81234.37</v>
      </c>
      <c r="J33" s="56">
        <f aca="true" t="shared" si="16" ref="J33:J72">F33/D33*100</f>
        <v>7.757397860695388</v>
      </c>
      <c r="K33" s="56">
        <f>F33-12535.7</f>
        <v>-5704.070000000001</v>
      </c>
      <c r="L33" s="137">
        <f>F33/12535.7</f>
        <v>0.5449739543862728</v>
      </c>
      <c r="M33" s="40">
        <f>E33-'січень '!E33</f>
        <v>6400</v>
      </c>
      <c r="N33" s="40">
        <f>F33-'січень '!F33</f>
        <v>538.3400000000001</v>
      </c>
      <c r="O33" s="53">
        <f t="shared" si="3"/>
        <v>-5861.66</v>
      </c>
      <c r="P33" s="56">
        <f aca="true" t="shared" si="17" ref="P33:P67">N33/M33*100</f>
        <v>8.411562500000002</v>
      </c>
      <c r="Q33" s="143">
        <f>N33-6362.9</f>
        <v>-5824.5599999999995</v>
      </c>
      <c r="R33" s="144">
        <f>N33/6362.9</f>
        <v>0.08460607584591934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137">
        <f aca="true" t="shared" si="20" ref="L34:L55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5">N34-6362.9</f>
        <v>-6362.9</v>
      </c>
      <c r="R34" s="144">
        <f aca="true" t="shared" si="22" ref="R34:R55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86">
        <f>56066+10200</f>
        <v>66266</v>
      </c>
      <c r="E55" s="186">
        <v>9500</v>
      </c>
      <c r="F55" s="188">
        <v>5176.86</v>
      </c>
      <c r="G55" s="186">
        <f t="shared" si="14"/>
        <v>-4323.14</v>
      </c>
      <c r="H55" s="188">
        <f t="shared" si="15"/>
        <v>54.49326315789473</v>
      </c>
      <c r="I55" s="187">
        <f t="shared" si="18"/>
        <v>-61089.14</v>
      </c>
      <c r="J55" s="187">
        <f t="shared" si="16"/>
        <v>7.8122415718467995</v>
      </c>
      <c r="K55" s="190">
        <f>F55-9287.5</f>
        <v>-4110.64</v>
      </c>
      <c r="L55" s="191">
        <f>F55/9287.5</f>
        <v>0.557400807537012</v>
      </c>
      <c r="M55" s="188">
        <f>E55-'січень '!E55</f>
        <v>4750</v>
      </c>
      <c r="N55" s="188">
        <f>F55-'січень '!F55</f>
        <v>488.9499999999998</v>
      </c>
      <c r="O55" s="190">
        <f t="shared" si="3"/>
        <v>-4261.05</v>
      </c>
      <c r="P55" s="60">
        <f t="shared" si="17"/>
        <v>10.293684210526312</v>
      </c>
      <c r="Q55" s="143">
        <f>N55-4413.4</f>
        <v>-3924.45</v>
      </c>
      <c r="R55" s="144">
        <f>N55/4413.4</f>
        <v>0.11078760139574928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689.62</v>
      </c>
      <c r="G56" s="49">
        <f t="shared" si="14"/>
        <v>-440.38</v>
      </c>
      <c r="H56" s="40">
        <f t="shared" si="15"/>
        <v>61.028318584070796</v>
      </c>
      <c r="I56" s="56">
        <f t="shared" si="18"/>
        <v>-6170.38</v>
      </c>
      <c r="J56" s="56">
        <f t="shared" si="16"/>
        <v>10.052769679300292</v>
      </c>
      <c r="K56" s="56">
        <f>F56-1019.7</f>
        <v>-330.08000000000004</v>
      </c>
      <c r="L56" s="137">
        <f>F56/1019.7</f>
        <v>0.6762969500833578</v>
      </c>
      <c r="M56" s="40">
        <f>E56-'січень '!E56</f>
        <v>575</v>
      </c>
      <c r="N56" s="40">
        <f>F56-'січень '!F56</f>
        <v>161.82000000000005</v>
      </c>
      <c r="O56" s="53">
        <f t="shared" si="3"/>
        <v>-413.17999999999995</v>
      </c>
      <c r="P56" s="56">
        <f t="shared" si="17"/>
        <v>28.142608695652182</v>
      </c>
      <c r="Q56" s="56">
        <f>N56-518.3</f>
        <v>-356.4799999999999</v>
      </c>
      <c r="R56" s="137">
        <f>N56/518.3</f>
        <v>0.31221300405170765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>F58</f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>F59</f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>F60</f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>F61</f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>F62</f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>F63</f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>F64</f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>F65</f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>F66</f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>F67</f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1727.71</v>
      </c>
      <c r="G74" s="50">
        <f aca="true" t="shared" si="23" ref="G74:G92">F74-E74</f>
        <v>-784.3899999999999</v>
      </c>
      <c r="H74" s="51">
        <f aca="true" t="shared" si="24" ref="H74:H86">F74/E74*100</f>
        <v>68.77552645197245</v>
      </c>
      <c r="I74" s="36">
        <f aca="true" t="shared" si="25" ref="I74:I92">F74-D74</f>
        <v>-15937.89</v>
      </c>
      <c r="J74" s="36">
        <f aca="true" t="shared" si="26" ref="J74:J92">F74/D74*100</f>
        <v>9.780081061498054</v>
      </c>
      <c r="K74" s="36">
        <f>F74-2710.3</f>
        <v>-982.5900000000001</v>
      </c>
      <c r="L74" s="138">
        <f>F74/2710.3</f>
        <v>0.6374607976976718</v>
      </c>
      <c r="M74" s="22">
        <f>M77+M86+M88+M89+M94+M95+M96+M97+M99+M87</f>
        <v>1456</v>
      </c>
      <c r="N74" s="22">
        <f>N77+N86+N88+N89+N94+N95+N96+N97+N99+N32+N103+N87</f>
        <v>710.0800000000002</v>
      </c>
      <c r="O74" s="55">
        <f aca="true" t="shared" si="27" ref="O74:O92">N74-M74</f>
        <v>-745.9199999999998</v>
      </c>
      <c r="P74" s="36">
        <f>N74/M74*100</f>
        <v>48.76923076923078</v>
      </c>
      <c r="Q74" s="36">
        <f>N74-1790.3</f>
        <v>-1080.2199999999998</v>
      </c>
      <c r="R74" s="138">
        <f>N74/1790.3</f>
        <v>0.3966262637546781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3"/>
        <v>#REF!</v>
      </c>
      <c r="H75" s="40" t="e">
        <f t="shared" si="24"/>
        <v>#REF!</v>
      </c>
      <c r="I75" s="56" t="e">
        <f t="shared" si="25"/>
        <v>#REF!</v>
      </c>
      <c r="J75" s="56" t="e">
        <f t="shared" si="26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7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3"/>
        <v>0</v>
      </c>
      <c r="H76" s="40" t="e">
        <f t="shared" si="24"/>
        <v>#DIV/0!</v>
      </c>
      <c r="I76" s="56" t="e">
        <f t="shared" si="25"/>
        <v>#REF!</v>
      </c>
      <c r="J76" s="56" t="e">
        <f t="shared" si="26"/>
        <v>#REF!</v>
      </c>
      <c r="K76" s="56"/>
      <c r="L76" s="137"/>
      <c r="M76" s="59"/>
      <c r="N76" s="59"/>
      <c r="O76" s="53">
        <f t="shared" si="27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0.02</v>
      </c>
      <c r="G77" s="49">
        <f t="shared" si="23"/>
        <v>-300.98</v>
      </c>
      <c r="H77" s="40">
        <f t="shared" si="24"/>
        <v>0.006644518272425249</v>
      </c>
      <c r="I77" s="56">
        <f t="shared" si="25"/>
        <v>-1699.98</v>
      </c>
      <c r="J77" s="56">
        <f t="shared" si="26"/>
        <v>0.0011764705882352942</v>
      </c>
      <c r="K77" s="56">
        <f>F77-1273.9</f>
        <v>-1273.88</v>
      </c>
      <c r="L77" s="137">
        <f>F77/1273.9</f>
        <v>1.56998194520763E-05</v>
      </c>
      <c r="M77" s="40">
        <f>E77-'січень '!E77</f>
        <v>300</v>
      </c>
      <c r="N77" s="40">
        <f>F77-'січень '!F77</f>
        <v>0.02</v>
      </c>
      <c r="O77" s="53">
        <f t="shared" si="27"/>
        <v>-299.98</v>
      </c>
      <c r="P77" s="56">
        <f aca="true" t="shared" si="28" ref="P77:P86">N77/M77*100</f>
        <v>0.006666666666666667</v>
      </c>
      <c r="Q77" s="56">
        <f>N77-1273</f>
        <v>-1272.98</v>
      </c>
      <c r="R77" s="137">
        <f>N77/1273</f>
        <v>1.5710919088766692E-05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3"/>
        <v>0</v>
      </c>
      <c r="H78" s="40" t="e">
        <f t="shared" si="24"/>
        <v>#DIV/0!</v>
      </c>
      <c r="I78" s="56">
        <f t="shared" si="25"/>
        <v>0</v>
      </c>
      <c r="J78" s="56" t="e">
        <f t="shared" si="26"/>
        <v>#DIV/0!</v>
      </c>
      <c r="K78" s="56"/>
      <c r="L78" s="137">
        <f aca="true" t="shared" si="29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7"/>
        <v>0</v>
      </c>
      <c r="P78" s="56" t="e">
        <f t="shared" si="28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3"/>
        <v>0</v>
      </c>
      <c r="H79" s="40" t="e">
        <f t="shared" si="24"/>
        <v>#DIV/0!</v>
      </c>
      <c r="I79" s="56">
        <f t="shared" si="25"/>
        <v>0</v>
      </c>
      <c r="J79" s="56" t="e">
        <f t="shared" si="26"/>
        <v>#DIV/0!</v>
      </c>
      <c r="K79" s="56"/>
      <c r="L79" s="137">
        <f t="shared" si="29"/>
        <v>0</v>
      </c>
      <c r="M79" s="40">
        <f>E79-'січень '!E79</f>
        <v>0</v>
      </c>
      <c r="N79" s="40">
        <f>F79-'січень '!F79</f>
        <v>0</v>
      </c>
      <c r="O79" s="53">
        <f t="shared" si="27"/>
        <v>0</v>
      </c>
      <c r="P79" s="56" t="e">
        <f t="shared" si="28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3"/>
        <v>0</v>
      </c>
      <c r="H80" s="40" t="e">
        <f t="shared" si="24"/>
        <v>#DIV/0!</v>
      </c>
      <c r="I80" s="56">
        <f t="shared" si="25"/>
        <v>0</v>
      </c>
      <c r="J80" s="56" t="e">
        <f t="shared" si="26"/>
        <v>#DIV/0!</v>
      </c>
      <c r="K80" s="56"/>
      <c r="L80" s="137">
        <f t="shared" si="29"/>
        <v>0</v>
      </c>
      <c r="M80" s="40">
        <f>E80-'січень '!E80</f>
        <v>0</v>
      </c>
      <c r="N80" s="40">
        <f>F80-'січень '!F80</f>
        <v>0</v>
      </c>
      <c r="O80" s="53">
        <f t="shared" si="27"/>
        <v>0</v>
      </c>
      <c r="P80" s="56" t="e">
        <f t="shared" si="28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3"/>
        <v>0</v>
      </c>
      <c r="H81" s="40" t="e">
        <f t="shared" si="24"/>
        <v>#DIV/0!</v>
      </c>
      <c r="I81" s="56">
        <f t="shared" si="25"/>
        <v>0</v>
      </c>
      <c r="J81" s="56" t="e">
        <f t="shared" si="26"/>
        <v>#DIV/0!</v>
      </c>
      <c r="K81" s="56"/>
      <c r="L81" s="137">
        <f t="shared" si="29"/>
        <v>0</v>
      </c>
      <c r="M81" s="40">
        <f>E81-'січень '!E81</f>
        <v>0</v>
      </c>
      <c r="N81" s="40">
        <f>F81-'січень '!F81</f>
        <v>0</v>
      </c>
      <c r="O81" s="53">
        <f t="shared" si="27"/>
        <v>0</v>
      </c>
      <c r="P81" s="56" t="e">
        <f t="shared" si="28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3"/>
        <v>0</v>
      </c>
      <c r="H82" s="40" t="e">
        <f t="shared" si="24"/>
        <v>#DIV/0!</v>
      </c>
      <c r="I82" s="56">
        <f t="shared" si="25"/>
        <v>0</v>
      </c>
      <c r="J82" s="56" t="e">
        <f t="shared" si="26"/>
        <v>#DIV/0!</v>
      </c>
      <c r="K82" s="56"/>
      <c r="L82" s="137">
        <f t="shared" si="29"/>
        <v>0</v>
      </c>
      <c r="M82" s="40">
        <f>E82-'січень '!E82</f>
        <v>0</v>
      </c>
      <c r="N82" s="40">
        <f>F82-'січень '!F82</f>
        <v>0</v>
      </c>
      <c r="O82" s="53">
        <f t="shared" si="27"/>
        <v>0</v>
      </c>
      <c r="P82" s="56" t="e">
        <f t="shared" si="28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3"/>
        <v>0</v>
      </c>
      <c r="H83" s="40" t="e">
        <f t="shared" si="24"/>
        <v>#DIV/0!</v>
      </c>
      <c r="I83" s="56">
        <f t="shared" si="25"/>
        <v>0</v>
      </c>
      <c r="J83" s="56" t="e">
        <f t="shared" si="26"/>
        <v>#DIV/0!</v>
      </c>
      <c r="K83" s="56"/>
      <c r="L83" s="137">
        <f t="shared" si="29"/>
        <v>0</v>
      </c>
      <c r="M83" s="40">
        <f>E83-'січень '!E83</f>
        <v>0</v>
      </c>
      <c r="N83" s="40">
        <f>F83-'січень '!F83</f>
        <v>0</v>
      </c>
      <c r="O83" s="53">
        <f t="shared" si="27"/>
        <v>0</v>
      </c>
      <c r="P83" s="56" t="e">
        <f t="shared" si="28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3"/>
        <v>0</v>
      </c>
      <c r="H84" s="40" t="e">
        <f t="shared" si="24"/>
        <v>#DIV/0!</v>
      </c>
      <c r="I84" s="56">
        <f t="shared" si="25"/>
        <v>0</v>
      </c>
      <c r="J84" s="56" t="e">
        <f t="shared" si="26"/>
        <v>#DIV/0!</v>
      </c>
      <c r="K84" s="56"/>
      <c r="L84" s="137">
        <f t="shared" si="29"/>
        <v>0</v>
      </c>
      <c r="M84" s="40">
        <f>E84-'січень '!E84</f>
        <v>0</v>
      </c>
      <c r="N84" s="40">
        <f>F84-'січень '!F84</f>
        <v>0</v>
      </c>
      <c r="O84" s="53">
        <f t="shared" si="27"/>
        <v>0</v>
      </c>
      <c r="P84" s="56" t="e">
        <f t="shared" si="28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3"/>
        <v>0</v>
      </c>
      <c r="H85" s="40" t="e">
        <f t="shared" si="24"/>
        <v>#DIV/0!</v>
      </c>
      <c r="I85" s="56">
        <f t="shared" si="25"/>
        <v>0</v>
      </c>
      <c r="J85" s="56" t="e">
        <f t="shared" si="26"/>
        <v>#DIV/0!</v>
      </c>
      <c r="K85" s="56"/>
      <c r="L85" s="137">
        <f t="shared" si="29"/>
        <v>0</v>
      </c>
      <c r="M85" s="40">
        <f>E85-'січень '!E85</f>
        <v>0</v>
      </c>
      <c r="N85" s="40">
        <f>F85-'січень '!F85</f>
        <v>0</v>
      </c>
      <c r="O85" s="53">
        <f t="shared" si="27"/>
        <v>0</v>
      </c>
      <c r="P85" s="56" t="e">
        <f t="shared" si="28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3"/>
        <v>-100</v>
      </c>
      <c r="H86" s="40">
        <f t="shared" si="24"/>
        <v>0</v>
      </c>
      <c r="I86" s="56">
        <f t="shared" si="25"/>
        <v>-4300</v>
      </c>
      <c r="J86" s="56">
        <f t="shared" si="26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7"/>
        <v>-100</v>
      </c>
      <c r="P86" s="56">
        <f t="shared" si="28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23.94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19.71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0</v>
      </c>
      <c r="G88" s="49">
        <f t="shared" si="23"/>
        <v>-1.1</v>
      </c>
      <c r="H88" s="40">
        <f>F88/E88*100</f>
        <v>0</v>
      </c>
      <c r="I88" s="56">
        <f t="shared" si="25"/>
        <v>-5.1</v>
      </c>
      <c r="J88" s="56">
        <f t="shared" si="26"/>
        <v>0</v>
      </c>
      <c r="K88" s="56">
        <f>F88-0</f>
        <v>0</v>
      </c>
      <c r="L88" s="137" t="e">
        <f>F88/0*100</f>
        <v>#DIV/0!</v>
      </c>
      <c r="M88" s="40">
        <f>E88-'січень '!E88</f>
        <v>1</v>
      </c>
      <c r="N88" s="40">
        <f>F88-'січень '!F88</f>
        <v>0</v>
      </c>
      <c r="O88" s="53">
        <f t="shared" si="27"/>
        <v>-1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10.59</v>
      </c>
      <c r="G89" s="49">
        <f t="shared" si="23"/>
        <v>-9.41</v>
      </c>
      <c r="H89" s="40">
        <f>F89/E89*100</f>
        <v>52.949999999999996</v>
      </c>
      <c r="I89" s="56">
        <f t="shared" si="25"/>
        <v>-164.41</v>
      </c>
      <c r="J89" s="56">
        <f t="shared" si="26"/>
        <v>6.051428571428572</v>
      </c>
      <c r="K89" s="56">
        <f>F89-31.6</f>
        <v>-21.01</v>
      </c>
      <c r="L89" s="137">
        <f>F89/31.6</f>
        <v>0.33512658227848097</v>
      </c>
      <c r="M89" s="40">
        <f>E89-'січень '!E89</f>
        <v>10</v>
      </c>
      <c r="N89" s="40">
        <f>F89-'січень '!F89</f>
        <v>1.5700000000000003</v>
      </c>
      <c r="O89" s="53">
        <f t="shared" si="27"/>
        <v>-8.43</v>
      </c>
      <c r="P89" s="56">
        <f>N89/M89*100</f>
        <v>15.700000000000003</v>
      </c>
      <c r="Q89" s="56">
        <f>N89-19.8</f>
        <v>-18.23</v>
      </c>
      <c r="R89" s="137">
        <f>N89/19.8</f>
        <v>0.0792929292929293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3"/>
        <v>0</v>
      </c>
      <c r="H90" s="40" t="e">
        <f>F90/E90*100</f>
        <v>#DIV/0!</v>
      </c>
      <c r="I90" s="56">
        <f t="shared" si="25"/>
        <v>0</v>
      </c>
      <c r="J90" s="56" t="e">
        <f t="shared" si="26"/>
        <v>#DIV/0!</v>
      </c>
      <c r="K90" s="56"/>
      <c r="L90" s="137">
        <f t="shared" si="29"/>
        <v>0</v>
      </c>
      <c r="M90" s="40">
        <f>E90-'січень '!E90</f>
        <v>0</v>
      </c>
      <c r="N90" s="40">
        <f>F90-'січень '!F90</f>
        <v>0</v>
      </c>
      <c r="O90" s="53">
        <f t="shared" si="27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3"/>
        <v>0</v>
      </c>
      <c r="H91" s="40" t="e">
        <f>F91/E91*100</f>
        <v>#DIV/0!</v>
      </c>
      <c r="I91" s="56">
        <f t="shared" si="25"/>
        <v>0</v>
      </c>
      <c r="J91" s="56" t="e">
        <f t="shared" si="26"/>
        <v>#DIV/0!</v>
      </c>
      <c r="K91" s="56"/>
      <c r="L91" s="137">
        <f t="shared" si="29"/>
        <v>0</v>
      </c>
      <c r="M91" s="40">
        <f>E91-'січень '!E91</f>
        <v>0</v>
      </c>
      <c r="N91" s="40">
        <f>F91-'січень '!F91</f>
        <v>0</v>
      </c>
      <c r="O91" s="53">
        <f t="shared" si="27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3"/>
        <v>0</v>
      </c>
      <c r="H92" s="40" t="e">
        <f>F92/E92*100</f>
        <v>#DIV/0!</v>
      </c>
      <c r="I92" s="56">
        <f t="shared" si="25"/>
        <v>0</v>
      </c>
      <c r="J92" s="56" t="e">
        <f t="shared" si="26"/>
        <v>#DIV/0!</v>
      </c>
      <c r="K92" s="56"/>
      <c r="L92" s="137">
        <f t="shared" si="29"/>
        <v>0</v>
      </c>
      <c r="M92" s="40">
        <f>E92-'січень '!E92</f>
        <v>0</v>
      </c>
      <c r="N92" s="40">
        <f>F92-'січень '!F92</f>
        <v>0</v>
      </c>
      <c r="O92" s="53">
        <f t="shared" si="27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29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0" ref="G94:G101">F94-E94</f>
        <v>0</v>
      </c>
      <c r="H94" s="40"/>
      <c r="I94" s="56">
        <f aca="true" t="shared" si="31" ref="I94:I100">F94-D94</f>
        <v>0</v>
      </c>
      <c r="J94" s="56"/>
      <c r="K94" s="56"/>
      <c r="L94" s="137">
        <f t="shared" si="29"/>
        <v>0</v>
      </c>
      <c r="M94" s="40">
        <f>E94-'січень '!E94</f>
        <v>0</v>
      </c>
      <c r="N94" s="40">
        <f>F94-'січень '!F94</f>
        <v>0</v>
      </c>
      <c r="O94" s="53">
        <f aca="true" t="shared" si="32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1141.67</v>
      </c>
      <c r="G95" s="49">
        <f t="shared" si="30"/>
        <v>-118.32999999999993</v>
      </c>
      <c r="H95" s="40">
        <f>F95/E95*100</f>
        <v>90.60873015873017</v>
      </c>
      <c r="I95" s="56">
        <f t="shared" si="31"/>
        <v>-5158.33</v>
      </c>
      <c r="J95" s="56">
        <f>F95/D95*100</f>
        <v>18.121746031746035</v>
      </c>
      <c r="K95" s="56">
        <f>F95-825</f>
        <v>316.6700000000001</v>
      </c>
      <c r="L95" s="137">
        <f>F95/825</f>
        <v>1.3838424242424243</v>
      </c>
      <c r="M95" s="40">
        <f>E95-'січень '!E95</f>
        <v>630</v>
      </c>
      <c r="N95" s="40">
        <f>F95-'січень '!F95</f>
        <v>494.18000000000006</v>
      </c>
      <c r="O95" s="53">
        <f t="shared" si="32"/>
        <v>-135.81999999999994</v>
      </c>
      <c r="P95" s="56">
        <f>N95/M95*100</f>
        <v>78.44126984126986</v>
      </c>
      <c r="Q95" s="56">
        <f>N95-186.8</f>
        <v>307.38000000000005</v>
      </c>
      <c r="R95" s="137">
        <f>N95/186.8</f>
        <v>2.645503211991435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86.57</v>
      </c>
      <c r="G96" s="49">
        <f t="shared" si="30"/>
        <v>-83.43</v>
      </c>
      <c r="H96" s="40">
        <f>F96/E96*100</f>
        <v>50.923529411764704</v>
      </c>
      <c r="I96" s="56">
        <f t="shared" si="31"/>
        <v>-1113.43</v>
      </c>
      <c r="J96" s="56">
        <f>F96/D96*100</f>
        <v>7.2141666666666655</v>
      </c>
      <c r="K96" s="56">
        <f>F96-60</f>
        <v>26.569999999999993</v>
      </c>
      <c r="L96" s="137">
        <f>F96/60</f>
        <v>1.4428333333333332</v>
      </c>
      <c r="M96" s="40">
        <f>E96-'січень '!E96</f>
        <v>85</v>
      </c>
      <c r="N96" s="40">
        <f>F96-'січень '!F96</f>
        <v>7.059999999999988</v>
      </c>
      <c r="O96" s="53">
        <f t="shared" si="32"/>
        <v>-77.94000000000001</v>
      </c>
      <c r="P96" s="56">
        <f>N96/M96*100</f>
        <v>8.305882352941163</v>
      </c>
      <c r="Q96" s="56">
        <f>N96-42.8</f>
        <v>-35.74000000000001</v>
      </c>
      <c r="R96" s="137">
        <f>N96/42.8</f>
        <v>0.1649532710280371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0"/>
        <v>0</v>
      </c>
      <c r="H97" s="40"/>
      <c r="I97" s="56">
        <f t="shared" si="31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2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0"/>
        <v>0</v>
      </c>
      <c r="H98" s="40" t="e">
        <f>F98/E98*100</f>
        <v>#DIV/0!</v>
      </c>
      <c r="I98" s="56">
        <f t="shared" si="31"/>
        <v>0</v>
      </c>
      <c r="J98" s="56" t="e">
        <f>F98/D98*100</f>
        <v>#DIV/0!</v>
      </c>
      <c r="K98" s="56"/>
      <c r="L98" s="137">
        <f t="shared" si="29"/>
        <v>0</v>
      </c>
      <c r="M98" s="40">
        <f>E98-'січень '!E98</f>
        <v>0</v>
      </c>
      <c r="N98" s="40">
        <f>F98-'січень '!F98</f>
        <v>0</v>
      </c>
      <c r="O98" s="53">
        <f t="shared" si="32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464.92</v>
      </c>
      <c r="G99" s="49">
        <f t="shared" si="30"/>
        <v>-195.07999999999998</v>
      </c>
      <c r="H99" s="40">
        <f>F99/E99*100</f>
        <v>70.44242424242424</v>
      </c>
      <c r="I99" s="56">
        <f t="shared" si="31"/>
        <v>-3415.08</v>
      </c>
      <c r="J99" s="56">
        <f>F99/D99*100</f>
        <v>11.982474226804124</v>
      </c>
      <c r="K99" s="56">
        <f>F99-488.6</f>
        <v>-23.680000000000007</v>
      </c>
      <c r="L99" s="137">
        <f>F99/488.6</f>
        <v>0.9515349979533361</v>
      </c>
      <c r="M99" s="40">
        <f>E99-'січень '!E99</f>
        <v>330</v>
      </c>
      <c r="N99" s="40">
        <f>F99-'січень '!F99</f>
        <v>187.54000000000002</v>
      </c>
      <c r="O99" s="53">
        <f t="shared" si="32"/>
        <v>-142.45999999999998</v>
      </c>
      <c r="P99" s="56">
        <f>N99/M99*100</f>
        <v>56.83030303030303</v>
      </c>
      <c r="Q99" s="56">
        <f>N99-252.2</f>
        <v>-64.65999999999997</v>
      </c>
      <c r="R99" s="137">
        <f>N99/252.2</f>
        <v>0.7436161776367963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0"/>
        <v>0</v>
      </c>
      <c r="H100" s="40" t="e">
        <f>F100/E100*100</f>
        <v>#DIV/0!</v>
      </c>
      <c r="I100" s="56">
        <f t="shared" si="31"/>
        <v>0</v>
      </c>
      <c r="J100" s="56" t="e">
        <f>F100/D100*100</f>
        <v>#DIV/0!</v>
      </c>
      <c r="K100" s="56"/>
      <c r="L100" s="137">
        <f t="shared" si="29"/>
        <v>0</v>
      </c>
      <c r="M100" s="40">
        <f>E100-'січень '!E100</f>
        <v>0</v>
      </c>
      <c r="N100" s="40">
        <f>F100-'січень '!F100</f>
        <v>0</v>
      </c>
      <c r="O100" s="53">
        <f t="shared" si="32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0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29"/>
        <v>0</v>
      </c>
      <c r="M101" s="40">
        <f>E101-'січень '!E101</f>
        <v>0</v>
      </c>
      <c r="N101" s="40">
        <f>F101-'січень '!F101</f>
        <v>0</v>
      </c>
      <c r="O101" s="53">
        <f t="shared" si="32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8">
        <v>88.4</v>
      </c>
      <c r="G102" s="186"/>
      <c r="H102" s="188"/>
      <c r="I102" s="187"/>
      <c r="J102" s="187"/>
      <c r="K102" s="190">
        <f>F102-54.4</f>
        <v>34.00000000000001</v>
      </c>
      <c r="L102" s="191">
        <f>F102/54.4</f>
        <v>1.6250000000000002</v>
      </c>
      <c r="M102" s="188">
        <f>E102-'січень '!E102</f>
        <v>0</v>
      </c>
      <c r="N102" s="188">
        <f>F102-'січень '!F102</f>
        <v>23.700000000000003</v>
      </c>
      <c r="O102" s="53"/>
      <c r="P102" s="60"/>
      <c r="Q102" s="60">
        <f>N102-26.6</f>
        <v>-2.8999999999999986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3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4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3"/>
        <v>-42.32</v>
      </c>
      <c r="J104" s="56">
        <f aca="true" t="shared" si="35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4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4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44028.530000000006</v>
      </c>
      <c r="G106" s="50">
        <f>F106-E106</f>
        <v>-28515.57</v>
      </c>
      <c r="H106" s="51">
        <f>F106/E106*100</f>
        <v>60.69208936357333</v>
      </c>
      <c r="I106" s="36">
        <f t="shared" si="33"/>
        <v>-493011.37</v>
      </c>
      <c r="J106" s="36">
        <f t="shared" si="35"/>
        <v>8.198372225229448</v>
      </c>
      <c r="K106" s="36">
        <f>F106-75300.9</f>
        <v>-31272.369999999988</v>
      </c>
      <c r="L106" s="138">
        <f>F106/75300.9</f>
        <v>0.5847012452706409</v>
      </c>
      <c r="M106" s="22">
        <f>M8+M74+M104+M105</f>
        <v>37282</v>
      </c>
      <c r="N106" s="22">
        <f>N8+N74+N104+N105</f>
        <v>9260.529999999997</v>
      </c>
      <c r="O106" s="55">
        <f t="shared" si="34"/>
        <v>-28021.47</v>
      </c>
      <c r="P106" s="36">
        <f>N106/M106*100</f>
        <v>24.839144895660095</v>
      </c>
      <c r="Q106" s="36">
        <f>N106-40779.2</f>
        <v>-31518.67</v>
      </c>
      <c r="R106" s="138">
        <f>N106/40779.2</f>
        <v>0.22708954565072384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34491.17</v>
      </c>
      <c r="G107" s="71">
        <f>G10-G18+G96</f>
        <v>-21578.83</v>
      </c>
      <c r="H107" s="72">
        <f>F107/E107*100</f>
        <v>61.51448189762796</v>
      </c>
      <c r="I107" s="52">
        <f t="shared" si="33"/>
        <v>-385075.03</v>
      </c>
      <c r="J107" s="52">
        <f t="shared" si="35"/>
        <v>8.220674115312434</v>
      </c>
      <c r="K107" s="52">
        <f>F107-55213.7</f>
        <v>-20722.53</v>
      </c>
      <c r="L107" s="139">
        <f>F107/55213.7</f>
        <v>0.624684996658438</v>
      </c>
      <c r="M107" s="71">
        <f>M10-M18+M96</f>
        <v>28835</v>
      </c>
      <c r="N107" s="71">
        <f>N10-N18+N96</f>
        <v>7843.549999999998</v>
      </c>
      <c r="O107" s="53">
        <f t="shared" si="34"/>
        <v>-20991.45</v>
      </c>
      <c r="P107" s="52">
        <f>N107/M107*100</f>
        <v>27.201491243280728</v>
      </c>
      <c r="Q107" s="52">
        <f>N107-28449</f>
        <v>-20605.45</v>
      </c>
      <c r="R107" s="139">
        <f>N107/28449</f>
        <v>0.2757056487046996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9537.360000000008</v>
      </c>
      <c r="G108" s="62">
        <f>F108-E108</f>
        <v>-6936.739999999998</v>
      </c>
      <c r="H108" s="72">
        <f>F108/E108*100</f>
        <v>57.89305637333757</v>
      </c>
      <c r="I108" s="52">
        <f t="shared" si="33"/>
        <v>-107936.34</v>
      </c>
      <c r="J108" s="52">
        <f t="shared" si="35"/>
        <v>8.118719338881816</v>
      </c>
      <c r="K108" s="52">
        <f>F108-20087.2</f>
        <v>-10549.839999999993</v>
      </c>
      <c r="L108" s="139">
        <f>F108/20087.2</f>
        <v>0.47479788123780353</v>
      </c>
      <c r="M108" s="71">
        <f>M106-M107</f>
        <v>8447</v>
      </c>
      <c r="N108" s="71">
        <f>N106-N107</f>
        <v>1416.9799999999987</v>
      </c>
      <c r="O108" s="53">
        <f t="shared" si="34"/>
        <v>-7030.020000000001</v>
      </c>
      <c r="P108" s="52">
        <f>N108/M108*100</f>
        <v>16.774949686279136</v>
      </c>
      <c r="Q108" s="52">
        <f>N108-12330.3</f>
        <v>-10913.32</v>
      </c>
      <c r="R108" s="139">
        <f>N108/12330.3</f>
        <v>0.11491853401782591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34491.17</v>
      </c>
      <c r="G109" s="111">
        <f>F109-E109</f>
        <v>-25523.53</v>
      </c>
      <c r="H109" s="72">
        <f>F109/E109*100</f>
        <v>57.47120288862562</v>
      </c>
      <c r="I109" s="81">
        <f t="shared" si="33"/>
        <v>-385075.03</v>
      </c>
      <c r="J109" s="52">
        <f t="shared" si="35"/>
        <v>8.220674115312434</v>
      </c>
      <c r="K109" s="52"/>
      <c r="L109" s="139"/>
      <c r="M109" s="122">
        <f>E109-'січень '!E109</f>
        <v>31301.299999999996</v>
      </c>
      <c r="N109" s="71">
        <f>N107</f>
        <v>7843.549999999998</v>
      </c>
      <c r="O109" s="118">
        <f t="shared" si="34"/>
        <v>-23457.749999999996</v>
      </c>
      <c r="P109" s="52">
        <f>N109/M109*100</f>
        <v>25.058224418794104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2063.725</v>
      </c>
      <c r="G110" s="62">
        <f>F110-E110</f>
        <v>-1155.6860000000001</v>
      </c>
      <c r="H110" s="72"/>
      <c r="I110" s="85">
        <f t="shared" si="33"/>
        <v>-2806.655</v>
      </c>
      <c r="J110" s="52"/>
      <c r="K110" s="52"/>
      <c r="L110" s="139"/>
      <c r="M110" s="40">
        <f>E110-'січень '!E110</f>
        <v>1650.981</v>
      </c>
      <c r="N110" s="71">
        <f>F110-'січень '!F110</f>
        <v>495.29399999999987</v>
      </c>
      <c r="O110" s="86"/>
      <c r="P110" s="52">
        <f>N110/M110*100</f>
        <v>29.999981828985305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-3.03</v>
      </c>
      <c r="G113" s="49">
        <f aca="true" t="shared" si="36" ref="G113:G125">F113-E113</f>
        <v>-3.03</v>
      </c>
      <c r="H113" s="40"/>
      <c r="I113" s="60">
        <f aca="true" t="shared" si="37" ref="I113:I124">F113-D113</f>
        <v>-3.03</v>
      </c>
      <c r="J113" s="60"/>
      <c r="K113" s="60">
        <f>F113-4.1</f>
        <v>-7.129999999999999</v>
      </c>
      <c r="L113" s="140">
        <f>F113/4.1</f>
        <v>-0.7390243902439024</v>
      </c>
      <c r="M113" s="40">
        <f>E113-'січень '!E113</f>
        <v>0</v>
      </c>
      <c r="N113" s="40">
        <f>F113-'січень '!F113</f>
        <v>-3.21</v>
      </c>
      <c r="O113" s="53"/>
      <c r="P113" s="60"/>
      <c r="Q113" s="60">
        <f>N113-3.2</f>
        <v>-6.41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95.57</v>
      </c>
      <c r="G114" s="49">
        <f t="shared" si="36"/>
        <v>-1030.48</v>
      </c>
      <c r="H114" s="40">
        <f aca="true" t="shared" si="38" ref="H114:H125">F114/E114*100</f>
        <v>8.48718973402602</v>
      </c>
      <c r="I114" s="60">
        <f t="shared" si="37"/>
        <v>-3575.93</v>
      </c>
      <c r="J114" s="60">
        <f aca="true" t="shared" si="39" ref="J114:J120">F114/D114*100</f>
        <v>2.603023287484679</v>
      </c>
      <c r="K114" s="60">
        <f>F114-605.5</f>
        <v>-509.93</v>
      </c>
      <c r="L114" s="140">
        <f>F114/605.5</f>
        <v>0.15783649876135425</v>
      </c>
      <c r="M114" s="40">
        <f>E114-'січень '!E114</f>
        <v>563.02</v>
      </c>
      <c r="N114" s="40">
        <f>F114-'січень '!F114</f>
        <v>27.429999999999993</v>
      </c>
      <c r="O114" s="53">
        <f aca="true" t="shared" si="40" ref="O114:O125">N114-M114</f>
        <v>-535.59</v>
      </c>
      <c r="P114" s="60">
        <f>N114/M114*100</f>
        <v>4.871940606017547</v>
      </c>
      <c r="Q114" s="60">
        <f>N114-358.7</f>
        <v>-331.27</v>
      </c>
      <c r="R114" s="140">
        <f>N114/358.7</f>
        <v>0.0764705882352941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35.03</v>
      </c>
      <c r="G115" s="49">
        <f t="shared" si="36"/>
        <v>-14.969999999999999</v>
      </c>
      <c r="H115" s="40">
        <f t="shared" si="38"/>
        <v>70.06</v>
      </c>
      <c r="I115" s="60">
        <f t="shared" si="37"/>
        <v>-233.07000000000002</v>
      </c>
      <c r="J115" s="60">
        <f t="shared" si="39"/>
        <v>13.066020141738157</v>
      </c>
      <c r="K115" s="60">
        <f>F115-39.4</f>
        <v>-4.369999999999997</v>
      </c>
      <c r="L115" s="140">
        <f>F115/39.4</f>
        <v>0.8890862944162438</v>
      </c>
      <c r="M115" s="40">
        <f>E115-'січень '!E115</f>
        <v>25</v>
      </c>
      <c r="N115" s="40">
        <f>F115-'січень '!F115</f>
        <v>10.5</v>
      </c>
      <c r="O115" s="53">
        <f t="shared" si="40"/>
        <v>-14.5</v>
      </c>
      <c r="P115" s="60">
        <f>N115/M115*100</f>
        <v>42</v>
      </c>
      <c r="Q115" s="60">
        <f>N115-16.9</f>
        <v>-6.399999999999999</v>
      </c>
      <c r="R115" s="140">
        <f>N115/16.9</f>
        <v>0.6213017751479291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127.57</v>
      </c>
      <c r="G116" s="62">
        <f t="shared" si="36"/>
        <v>-1048.48</v>
      </c>
      <c r="H116" s="72">
        <f t="shared" si="38"/>
        <v>10.847327919731303</v>
      </c>
      <c r="I116" s="61">
        <f t="shared" si="37"/>
        <v>-3812.0299999999997</v>
      </c>
      <c r="J116" s="61">
        <f t="shared" si="39"/>
        <v>3.2381460046705253</v>
      </c>
      <c r="K116" s="61">
        <f>F116-648.9</f>
        <v>-521.3299999999999</v>
      </c>
      <c r="L116" s="141">
        <f>F116/648.9</f>
        <v>0.19659423640006163</v>
      </c>
      <c r="M116" s="62">
        <f>M114+M115+M113</f>
        <v>588.02</v>
      </c>
      <c r="N116" s="38">
        <f>SUM(N113:N115)</f>
        <v>34.71999999999999</v>
      </c>
      <c r="O116" s="61">
        <f t="shared" si="40"/>
        <v>-553.3</v>
      </c>
      <c r="P116" s="61">
        <f>N116/M116*100</f>
        <v>5.904561069351382</v>
      </c>
      <c r="Q116" s="61">
        <f>N116-378.9</f>
        <v>-344.18</v>
      </c>
      <c r="R116" s="141">
        <f>N116/378.9</f>
        <v>0.09163367643177618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6"/>
        <v>0</v>
      </c>
      <c r="H117" s="40" t="e">
        <f t="shared" si="38"/>
        <v>#DIV/0!</v>
      </c>
      <c r="I117" s="60">
        <f t="shared" si="37"/>
        <v>0</v>
      </c>
      <c r="J117" s="60" t="e">
        <f t="shared" si="39"/>
        <v>#DIV/0!</v>
      </c>
      <c r="K117" s="60"/>
      <c r="L117" s="140"/>
      <c r="M117" s="41">
        <v>0</v>
      </c>
      <c r="N117" s="41">
        <f>F117</f>
        <v>0</v>
      </c>
      <c r="O117" s="53">
        <f t="shared" si="40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55.36</v>
      </c>
      <c r="G118" s="49">
        <f t="shared" si="36"/>
        <v>55.36</v>
      </c>
      <c r="H118" s="40" t="e">
        <f t="shared" si="38"/>
        <v>#DIV/0!</v>
      </c>
      <c r="I118" s="60">
        <f t="shared" si="37"/>
        <v>55.36</v>
      </c>
      <c r="J118" s="60" t="e">
        <f t="shared" si="39"/>
        <v>#DIV/0!</v>
      </c>
      <c r="K118" s="60">
        <f>F118-5.2</f>
        <v>50.16</v>
      </c>
      <c r="L118" s="140">
        <f>F118/5.2</f>
        <v>10.646153846153846</v>
      </c>
      <c r="M118" s="40">
        <f>E118-'січень '!E118</f>
        <v>0</v>
      </c>
      <c r="N118" s="40">
        <f>F118-'січень '!F118</f>
        <v>1.0399999999999991</v>
      </c>
      <c r="O118" s="53" t="s">
        <v>166</v>
      </c>
      <c r="P118" s="60"/>
      <c r="Q118" s="60">
        <f>N118-5</f>
        <v>-3.960000000000001</v>
      </c>
      <c r="R118" s="140">
        <f>N118/5</f>
        <v>0.20799999999999982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10206.43</v>
      </c>
      <c r="G119" s="49">
        <f t="shared" si="36"/>
        <v>10206.43</v>
      </c>
      <c r="H119" s="40" t="e">
        <f t="shared" si="38"/>
        <v>#DIV/0!</v>
      </c>
      <c r="I119" s="53">
        <f t="shared" si="37"/>
        <v>-15780.954999999998</v>
      </c>
      <c r="J119" s="60">
        <f t="shared" si="39"/>
        <v>39.27455571231965</v>
      </c>
      <c r="K119" s="60">
        <f>F119-14451.2</f>
        <v>-4244.77</v>
      </c>
      <c r="L119" s="140">
        <f>F119/14451.2</f>
        <v>0.7062686835695305</v>
      </c>
      <c r="M119" s="40">
        <f>E119-'січень '!E119</f>
        <v>0</v>
      </c>
      <c r="N119" s="40">
        <f>F119-'січень '!F119</f>
        <v>2726.5700000000006</v>
      </c>
      <c r="O119" s="53">
        <f t="shared" si="40"/>
        <v>2726.5700000000006</v>
      </c>
      <c r="P119" s="60" t="e">
        <f aca="true" t="shared" si="41" ref="P119:P124">N119/M119*100</f>
        <v>#DIV/0!</v>
      </c>
      <c r="Q119" s="60">
        <f>N119-8093.7</f>
        <v>-5367.129999999999</v>
      </c>
      <c r="R119" s="140">
        <f>N119/8093.7</f>
        <v>0.3368755945982679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0.07</v>
      </c>
      <c r="G120" s="49">
        <f t="shared" si="36"/>
        <v>0.07</v>
      </c>
      <c r="H120" s="40" t="e">
        <f t="shared" si="38"/>
        <v>#DIV/0!</v>
      </c>
      <c r="I120" s="60">
        <f t="shared" si="37"/>
        <v>0.07</v>
      </c>
      <c r="J120" s="60" t="e">
        <f t="shared" si="39"/>
        <v>#DIV/0!</v>
      </c>
      <c r="K120" s="60">
        <f>F120-280.4</f>
        <v>-280.33</v>
      </c>
      <c r="L120" s="140">
        <f>F120/230.3*100</f>
        <v>0.030395136778115502</v>
      </c>
      <c r="M120" s="40">
        <f>E120-'січень '!E120</f>
        <v>0</v>
      </c>
      <c r="N120" s="40">
        <f>F120-'січень '!F120</f>
        <v>0.030000000000000006</v>
      </c>
      <c r="O120" s="53">
        <f t="shared" si="40"/>
        <v>0.030000000000000006</v>
      </c>
      <c r="P120" s="60" t="e">
        <f t="shared" si="41"/>
        <v>#DIV/0!</v>
      </c>
      <c r="Q120" s="60">
        <f>N120-230.3</f>
        <v>-230.27</v>
      </c>
      <c r="R120" s="140">
        <f>N120/230.3</f>
        <v>0.0001302648719062093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624.3</v>
      </c>
      <c r="G121" s="49">
        <f t="shared" si="36"/>
        <v>624.3</v>
      </c>
      <c r="H121" s="40" t="e">
        <f t="shared" si="38"/>
        <v>#DIV/0!</v>
      </c>
      <c r="I121" s="60">
        <f t="shared" si="37"/>
        <v>624.3</v>
      </c>
      <c r="J121" s="60" t="e">
        <f>F121/D121*100</f>
        <v>#DIV/0!</v>
      </c>
      <c r="K121" s="60">
        <f>F121-238.5</f>
        <v>385.79999999999995</v>
      </c>
      <c r="L121" s="140">
        <f>F121/280.4</f>
        <v>2.2264621968616263</v>
      </c>
      <c r="M121" s="40">
        <f>E121-'січень '!E121</f>
        <v>0</v>
      </c>
      <c r="N121" s="40">
        <f>F121-'січень '!F121</f>
        <v>174.28999999999996</v>
      </c>
      <c r="O121" s="53">
        <f t="shared" si="40"/>
        <v>174.28999999999996</v>
      </c>
      <c r="P121" s="60" t="e">
        <f t="shared" si="41"/>
        <v>#DIV/0!</v>
      </c>
      <c r="Q121" s="60">
        <f>N121-50.2</f>
        <v>124.08999999999996</v>
      </c>
      <c r="R121" s="140">
        <f>N121/50.2</f>
        <v>3.471912350597609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6"/>
        <v>45.1</v>
      </c>
      <c r="H122" s="40" t="e">
        <f t="shared" si="38"/>
        <v>#DIV/0!</v>
      </c>
      <c r="I122" s="60">
        <f t="shared" si="37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0"/>
        <v>44.050000000000004</v>
      </c>
      <c r="P122" s="60" t="e">
        <f t="shared" si="41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10931.26</v>
      </c>
      <c r="G123" s="62">
        <f t="shared" si="36"/>
        <v>10931.26</v>
      </c>
      <c r="H123" s="72" t="e">
        <f t="shared" si="38"/>
        <v>#DIV/0!</v>
      </c>
      <c r="I123" s="61">
        <f t="shared" si="37"/>
        <v>-15056.124999999998</v>
      </c>
      <c r="J123" s="61">
        <f>F123/D123*100</f>
        <v>42.06371668407576</v>
      </c>
      <c r="K123" s="61">
        <f>F123-15573.7</f>
        <v>-4642.4400000000005</v>
      </c>
      <c r="L123" s="141">
        <f>F123/15573.7</f>
        <v>0.7019051349390318</v>
      </c>
      <c r="M123" s="62">
        <f>M119+M120+M121+M122+M118</f>
        <v>0</v>
      </c>
      <c r="N123" s="62">
        <f>N119+N120+N121+N122+N118</f>
        <v>2945.980000000001</v>
      </c>
      <c r="O123" s="61">
        <f t="shared" si="40"/>
        <v>2945.980000000001</v>
      </c>
      <c r="P123" s="61" t="e">
        <f t="shared" si="41"/>
        <v>#DIV/0!</v>
      </c>
      <c r="Q123" s="61">
        <f>N123-8732.6</f>
        <v>-5786.619999999999</v>
      </c>
      <c r="R123" s="141">
        <f>N123/8732.6</f>
        <v>0.33735428165723846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6"/>
        <v>0.16</v>
      </c>
      <c r="H124" s="40" t="e">
        <f t="shared" si="38"/>
        <v>#DIV/0!</v>
      </c>
      <c r="I124" s="60">
        <f t="shared" si="37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0"/>
        <v>0</v>
      </c>
      <c r="P124" s="60" t="e">
        <f t="shared" si="41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6"/>
        <v>0</v>
      </c>
      <c r="H125" s="40" t="e">
        <f t="shared" si="38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0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23.67</v>
      </c>
      <c r="G127" s="49">
        <f aca="true" t="shared" si="42" ref="G127:G134">F127-E127</f>
        <v>-1436.52</v>
      </c>
      <c r="H127" s="40">
        <f>F127/E127*100</f>
        <v>1.6210219218046968</v>
      </c>
      <c r="I127" s="60">
        <f aca="true" t="shared" si="43" ref="I127:I134">F127-D127</f>
        <v>-8676.33</v>
      </c>
      <c r="J127" s="60">
        <f>F127/D127*100</f>
        <v>0.27206896551724136</v>
      </c>
      <c r="K127" s="60">
        <f>F127-2439.3</f>
        <v>-2415.63</v>
      </c>
      <c r="L127" s="140">
        <f>F127/2439.3</f>
        <v>0.009703603492805314</v>
      </c>
      <c r="M127" s="40">
        <f>E127-'січень '!E127</f>
        <v>730.09</v>
      </c>
      <c r="N127" s="40">
        <f>F127-'січень '!F127</f>
        <v>6</v>
      </c>
      <c r="O127" s="53">
        <f aca="true" t="shared" si="44" ref="O127:O134">N127-M127</f>
        <v>-724.09</v>
      </c>
      <c r="P127" s="60">
        <f>N127/M127*100</f>
        <v>0.8218164883781451</v>
      </c>
      <c r="Q127" s="60">
        <f>N127-2355</f>
        <v>-2349</v>
      </c>
      <c r="R127" s="140">
        <f>N127/2355</f>
        <v>0.0025477707006369425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2"/>
        <v>-0.16</v>
      </c>
      <c r="H128" s="40"/>
      <c r="I128" s="60">
        <f t="shared" si="43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4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32.43</v>
      </c>
      <c r="G129" s="62">
        <f t="shared" si="42"/>
        <v>-1427.76</v>
      </c>
      <c r="H129" s="72">
        <f>F129/E129*100</f>
        <v>2.2209438497729748</v>
      </c>
      <c r="I129" s="61">
        <f t="shared" si="43"/>
        <v>-8718.27</v>
      </c>
      <c r="J129" s="61">
        <f>F129/D129*100</f>
        <v>0.3705989235146902</v>
      </c>
      <c r="K129" s="61">
        <f>F129-2474.4</f>
        <v>-2441.9700000000003</v>
      </c>
      <c r="L129" s="141">
        <f>G129/2474.4</f>
        <v>-0.5770126091173617</v>
      </c>
      <c r="M129" s="62">
        <f>M124+M127+M128+M126</f>
        <v>730.09</v>
      </c>
      <c r="N129" s="62">
        <f>N124+N127+N128+N126</f>
        <v>6.05</v>
      </c>
      <c r="O129" s="61">
        <f t="shared" si="44"/>
        <v>-724.0400000000001</v>
      </c>
      <c r="P129" s="61">
        <f>N129/M129*100</f>
        <v>0.8286649591146297</v>
      </c>
      <c r="Q129" s="61">
        <f>N129-2389.7</f>
        <v>-2383.6499999999996</v>
      </c>
      <c r="R129" s="139">
        <f>N129/2389.7</f>
        <v>0.002531698539565636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2"/>
        <v>-18.48</v>
      </c>
      <c r="H132" s="40">
        <f>F132/E132*100</f>
        <v>0</v>
      </c>
      <c r="I132" s="60">
        <f t="shared" si="43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11091.710000000001</v>
      </c>
      <c r="G133" s="50">
        <f t="shared" si="42"/>
        <v>7832.990000000002</v>
      </c>
      <c r="H133" s="51">
        <f>F133/E133*100</f>
        <v>340.37014533313703</v>
      </c>
      <c r="I133" s="36">
        <f t="shared" si="43"/>
        <v>-27615.975</v>
      </c>
      <c r="J133" s="36">
        <f>F133/D133*100</f>
        <v>28.655059066436035</v>
      </c>
      <c r="K133" s="36">
        <f>F133-18698.1</f>
        <v>-7606.389999999998</v>
      </c>
      <c r="L133" s="138">
        <f>F133/18698.1</f>
        <v>0.5931998438344004</v>
      </c>
      <c r="M133" s="31">
        <f>M116+M130+M123+M129+M132+M131</f>
        <v>1629.3500000000001</v>
      </c>
      <c r="N133" s="31">
        <f>N116+N130+N123+N129+N132+N131</f>
        <v>2986.750000000001</v>
      </c>
      <c r="O133" s="36">
        <f t="shared" si="44"/>
        <v>1357.4000000000008</v>
      </c>
      <c r="P133" s="36">
        <f>N133/M133*100</f>
        <v>183.30929511768502</v>
      </c>
      <c r="Q133" s="36">
        <f>N133-11501.6</f>
        <v>-8514.849999999999</v>
      </c>
      <c r="R133" s="138">
        <f>N133/11501.6</f>
        <v>0.25968126173749745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55120.240000000005</v>
      </c>
      <c r="G134" s="50">
        <f t="shared" si="42"/>
        <v>-20682.58</v>
      </c>
      <c r="H134" s="51">
        <f>F134/E134*100</f>
        <v>72.71528948395324</v>
      </c>
      <c r="I134" s="36">
        <f t="shared" si="43"/>
        <v>-520627.345</v>
      </c>
      <c r="J134" s="36">
        <f>F134/D134*100</f>
        <v>9.573681494469492</v>
      </c>
      <c r="K134" s="36">
        <f>F134-93999</f>
        <v>-38878.759999999995</v>
      </c>
      <c r="L134" s="138">
        <f>F134/93999</f>
        <v>0.5863917701252142</v>
      </c>
      <c r="M134" s="22">
        <f>M106+M133</f>
        <v>38911.35</v>
      </c>
      <c r="N134" s="22">
        <f>N106+N133</f>
        <v>12247.279999999999</v>
      </c>
      <c r="O134" s="36">
        <f t="shared" si="44"/>
        <v>-26664.07</v>
      </c>
      <c r="P134" s="36">
        <f>N134/M134*100</f>
        <v>31.47482675363358</v>
      </c>
      <c r="Q134" s="36">
        <f>N134-52280.8</f>
        <v>-40033.520000000004</v>
      </c>
      <c r="R134" s="138">
        <f>N134/52280.8</f>
        <v>0.23425961347186727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14</v>
      </c>
      <c r="D136" s="4" t="s">
        <v>118</v>
      </c>
    </row>
    <row r="137" spans="2:17" ht="31.5">
      <c r="B137" s="78" t="s">
        <v>154</v>
      </c>
      <c r="C137" s="39">
        <f>IF(O106&lt;0,ABS(O106/C136),0)</f>
        <v>2001.5335714285716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41680</v>
      </c>
      <c r="D138" s="39">
        <v>1055.5</v>
      </c>
      <c r="N138" s="169"/>
      <c r="O138" s="169"/>
    </row>
    <row r="139" spans="3:15" ht="15.75">
      <c r="C139" s="120">
        <v>41677</v>
      </c>
      <c r="D139" s="39">
        <v>4290.9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41676</v>
      </c>
      <c r="D140" s="39">
        <v>1310.9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114356.58832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100531.36635999999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4" sqref="I14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190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181</v>
      </c>
      <c r="N3" s="176" t="s">
        <v>180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175</v>
      </c>
      <c r="H4" s="164" t="s">
        <v>176</v>
      </c>
      <c r="I4" s="166" t="s">
        <v>177</v>
      </c>
      <c r="J4" s="172" t="s">
        <v>178</v>
      </c>
      <c r="K4" s="125" t="s">
        <v>174</v>
      </c>
      <c r="L4" s="132" t="s">
        <v>173</v>
      </c>
      <c r="M4" s="155"/>
      <c r="N4" s="174" t="s">
        <v>189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179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2014-02-10T13:24:28Z</cp:lastPrinted>
  <dcterms:created xsi:type="dcterms:W3CDTF">2003-07-28T11:27:56Z</dcterms:created>
  <dcterms:modified xsi:type="dcterms:W3CDTF">2014-02-11T13:49:01Z</dcterms:modified>
  <cp:category/>
  <cp:version/>
  <cp:contentType/>
  <cp:contentStatus/>
</cp:coreProperties>
</file>